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ber\TUGAS AKHIR\"/>
    </mc:Choice>
  </mc:AlternateContent>
  <bookViews>
    <workbookView xWindow="10245" yWindow="0" windowWidth="10245" windowHeight="10920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37" i="1" l="1"/>
  <c r="C16" i="1"/>
  <c r="C8" i="1" l="1"/>
  <c r="C10" i="1"/>
  <c r="C26" i="1"/>
  <c r="C35" i="1"/>
  <c r="C17" i="1"/>
  <c r="C2" i="1" l="1"/>
  <c r="M35" i="1" l="1"/>
  <c r="L35" i="1"/>
  <c r="K35" i="1"/>
  <c r="K36" i="1"/>
  <c r="K37" i="1"/>
  <c r="J35" i="1"/>
  <c r="J36" i="1"/>
  <c r="J37" i="1"/>
  <c r="I35" i="1"/>
  <c r="I36" i="1"/>
  <c r="I37" i="1"/>
  <c r="M26" i="1"/>
  <c r="M28" i="1"/>
  <c r="L28" i="1"/>
  <c r="K27" i="1"/>
  <c r="J27" i="1"/>
  <c r="M9" i="1"/>
  <c r="M10" i="1"/>
  <c r="L9" i="1"/>
  <c r="L10" i="1"/>
  <c r="K8" i="1"/>
  <c r="K9" i="1"/>
  <c r="K10" i="1"/>
  <c r="J8" i="1"/>
  <c r="J9" i="1"/>
  <c r="J10" i="1"/>
  <c r="H36" i="1"/>
  <c r="H37" i="1"/>
  <c r="H27" i="1"/>
  <c r="H33" i="1"/>
  <c r="G34" i="1"/>
  <c r="G33" i="1"/>
  <c r="G31" i="1"/>
  <c r="F29" i="1"/>
  <c r="H24" i="1"/>
  <c r="G25" i="1"/>
  <c r="G24" i="1"/>
  <c r="H19" i="1"/>
  <c r="H18" i="1"/>
  <c r="G16" i="1"/>
  <c r="H15" i="1"/>
  <c r="G15" i="1"/>
  <c r="G6" i="1"/>
  <c r="I8" i="1"/>
  <c r="I9" i="1"/>
  <c r="I10" i="1"/>
  <c r="F33" i="1"/>
  <c r="F31" i="1"/>
  <c r="F26" i="1"/>
  <c r="L26" i="1" s="1"/>
  <c r="F24" i="1"/>
  <c r="F22" i="1"/>
  <c r="E22" i="1"/>
  <c r="F20" i="1"/>
  <c r="F15" i="1"/>
  <c r="F13" i="1"/>
  <c r="F11" i="1"/>
  <c r="F6" i="1"/>
  <c r="F4" i="1"/>
  <c r="F2" i="1"/>
  <c r="C25" i="1"/>
  <c r="C34" i="1"/>
  <c r="C33" i="1"/>
  <c r="C31" i="1"/>
  <c r="C30" i="1"/>
  <c r="C29" i="1"/>
  <c r="D28" i="1"/>
  <c r="C28" i="1"/>
  <c r="D27" i="1"/>
  <c r="I27" i="1" s="1"/>
  <c r="D26" i="1"/>
  <c r="C24" i="1"/>
  <c r="C22" i="1"/>
  <c r="C21" i="1"/>
  <c r="C20" i="1"/>
  <c r="D15" i="1"/>
  <c r="D13" i="1"/>
  <c r="D11" i="1"/>
  <c r="C19" i="1"/>
  <c r="C18" i="1"/>
  <c r="C15" i="1"/>
  <c r="C13" i="1"/>
  <c r="C12" i="1"/>
  <c r="C11" i="1"/>
  <c r="C6" i="1"/>
  <c r="C4" i="1"/>
  <c r="D33" i="1"/>
  <c r="D31" i="1"/>
  <c r="E31" i="1"/>
  <c r="D29" i="1"/>
  <c r="D24" i="1"/>
  <c r="D22" i="1"/>
  <c r="D20" i="1"/>
  <c r="D6" i="1"/>
  <c r="D4" i="1"/>
  <c r="D2" i="1"/>
  <c r="E15" i="1"/>
  <c r="E6" i="1"/>
  <c r="G17" i="1"/>
  <c r="G8" i="1"/>
  <c r="H17" i="1"/>
  <c r="L17" i="1" s="1"/>
  <c r="H8" i="1"/>
  <c r="L8" i="1" s="1"/>
  <c r="H6" i="1"/>
  <c r="D34" i="1"/>
  <c r="D25" i="1"/>
  <c r="E34" i="1"/>
  <c r="E25" i="1"/>
  <c r="F34" i="1"/>
  <c r="F25" i="1"/>
  <c r="H34" i="1"/>
  <c r="H25" i="1"/>
  <c r="M25" i="1" s="1"/>
  <c r="C7" i="1"/>
  <c r="D16" i="1"/>
  <c r="D7" i="1"/>
  <c r="E16" i="1"/>
  <c r="E7" i="1"/>
  <c r="F7" i="1"/>
  <c r="F16" i="1"/>
  <c r="G7" i="1"/>
  <c r="H16" i="1"/>
  <c r="M16" i="1" s="1"/>
  <c r="H7" i="1"/>
  <c r="M7" i="1" s="1"/>
  <c r="M30" i="1"/>
  <c r="M31" i="1"/>
  <c r="M33" i="1"/>
  <c r="M29" i="1"/>
  <c r="L31" i="1"/>
  <c r="L33" i="1"/>
  <c r="L29" i="1"/>
  <c r="K30" i="1"/>
  <c r="K31" i="1"/>
  <c r="K33" i="1"/>
  <c r="K29" i="1"/>
  <c r="M21" i="1"/>
  <c r="M22" i="1"/>
  <c r="M24" i="1"/>
  <c r="M20" i="1"/>
  <c r="L22" i="1"/>
  <c r="L24" i="1"/>
  <c r="L20" i="1"/>
  <c r="K21" i="1"/>
  <c r="K22" i="1"/>
  <c r="K24" i="1"/>
  <c r="K20" i="1"/>
  <c r="M12" i="1"/>
  <c r="M13" i="1"/>
  <c r="M11" i="1"/>
  <c r="M4" i="1"/>
  <c r="M2" i="1"/>
  <c r="M15" i="1"/>
  <c r="L15" i="1"/>
  <c r="M6" i="1"/>
  <c r="L6" i="1"/>
  <c r="C32" i="1"/>
  <c r="C23" i="1"/>
  <c r="K23" i="1" s="1"/>
  <c r="D32" i="1"/>
  <c r="D23" i="1"/>
  <c r="E32" i="1"/>
  <c r="F32" i="1"/>
  <c r="F23" i="1"/>
  <c r="G32" i="1"/>
  <c r="G23" i="1"/>
  <c r="H32" i="1"/>
  <c r="H23" i="1"/>
  <c r="C14" i="1"/>
  <c r="C5" i="1"/>
  <c r="D5" i="1"/>
  <c r="D14" i="1"/>
  <c r="E14" i="1"/>
  <c r="E5" i="1"/>
  <c r="F14" i="1"/>
  <c r="F5" i="1"/>
  <c r="G14" i="1"/>
  <c r="G5" i="1"/>
  <c r="H14" i="1"/>
  <c r="H5" i="1"/>
  <c r="L13" i="1"/>
  <c r="L4" i="1"/>
  <c r="F30" i="1"/>
  <c r="L30" i="1" s="1"/>
  <c r="F21" i="1"/>
  <c r="L21" i="1" s="1"/>
  <c r="D30" i="1"/>
  <c r="D21" i="1"/>
  <c r="H3" i="1"/>
  <c r="M3" i="1" s="1"/>
  <c r="F12" i="1"/>
  <c r="L12" i="1" s="1"/>
  <c r="F3" i="1"/>
  <c r="L3" i="1" s="1"/>
  <c r="D12" i="1"/>
  <c r="D3" i="1"/>
  <c r="C3" i="1"/>
  <c r="L11" i="1"/>
  <c r="L2" i="1"/>
  <c r="L25" i="1" l="1"/>
  <c r="L34" i="1"/>
  <c r="K26" i="1"/>
  <c r="J26" i="1"/>
  <c r="I26" i="1"/>
  <c r="K28" i="1"/>
  <c r="J28" i="1"/>
  <c r="I28" i="1"/>
  <c r="K34" i="1"/>
  <c r="J34" i="1"/>
  <c r="I34" i="1"/>
  <c r="K25" i="1"/>
  <c r="J25" i="1"/>
  <c r="I25" i="1"/>
  <c r="M34" i="1"/>
  <c r="M27" i="1"/>
  <c r="L27" i="1"/>
  <c r="M37" i="1"/>
  <c r="L37" i="1"/>
  <c r="M36" i="1"/>
  <c r="L36" i="1"/>
  <c r="L16" i="1"/>
  <c r="L7" i="1"/>
  <c r="K7" i="1"/>
  <c r="J7" i="1"/>
  <c r="M8" i="1"/>
  <c r="M17" i="1"/>
  <c r="K16" i="1"/>
  <c r="J16" i="1"/>
  <c r="I17" i="1"/>
  <c r="K17" i="1"/>
  <c r="J17" i="1"/>
  <c r="I18" i="1"/>
  <c r="K18" i="1"/>
  <c r="J18" i="1"/>
  <c r="I19" i="1"/>
  <c r="K19" i="1"/>
  <c r="J19" i="1"/>
  <c r="M18" i="1"/>
  <c r="L18" i="1"/>
  <c r="M19" i="1"/>
  <c r="L19" i="1"/>
  <c r="M23" i="1"/>
  <c r="M32" i="1"/>
  <c r="L23" i="1"/>
  <c r="L32" i="1"/>
  <c r="K32" i="1"/>
  <c r="I7" i="1"/>
  <c r="I16" i="1"/>
  <c r="K2" i="1"/>
  <c r="J2" i="1"/>
  <c r="I2" i="1"/>
  <c r="K11" i="1"/>
  <c r="J11" i="1"/>
  <c r="I11" i="1"/>
  <c r="J20" i="1"/>
  <c r="I20" i="1"/>
  <c r="J29" i="1"/>
  <c r="I29" i="1"/>
  <c r="K12" i="1"/>
  <c r="J12" i="1"/>
  <c r="I12" i="1"/>
  <c r="K3" i="1"/>
  <c r="J3" i="1"/>
  <c r="I3" i="1"/>
  <c r="J21" i="1"/>
  <c r="I21" i="1"/>
  <c r="J30" i="1"/>
  <c r="I30" i="1"/>
  <c r="K4" i="1"/>
  <c r="J4" i="1"/>
  <c r="I4" i="1"/>
  <c r="K13" i="1"/>
  <c r="J13" i="1"/>
  <c r="I13" i="1"/>
  <c r="J22" i="1"/>
  <c r="I22" i="1"/>
  <c r="J31" i="1"/>
  <c r="I31" i="1"/>
  <c r="M5" i="1"/>
  <c r="M14" i="1"/>
  <c r="L5" i="1"/>
  <c r="L14" i="1"/>
  <c r="K5" i="1"/>
  <c r="J5" i="1"/>
  <c r="I5" i="1"/>
  <c r="K14" i="1"/>
  <c r="J14" i="1"/>
  <c r="I14" i="1"/>
  <c r="J23" i="1"/>
  <c r="I23" i="1"/>
  <c r="J32" i="1"/>
  <c r="I32" i="1"/>
  <c r="K6" i="1"/>
  <c r="J6" i="1"/>
  <c r="I6" i="1"/>
  <c r="K15" i="1"/>
  <c r="J15" i="1"/>
  <c r="I15" i="1"/>
  <c r="J24" i="1"/>
  <c r="I24" i="1"/>
  <c r="J33" i="1"/>
  <c r="I33" i="1"/>
</calcChain>
</file>

<file path=xl/sharedStrings.xml><?xml version="1.0" encoding="utf-8"?>
<sst xmlns="http://schemas.openxmlformats.org/spreadsheetml/2006/main" count="62" uniqueCount="28">
  <si>
    <t>DLVA</t>
  </si>
  <si>
    <t>INAF</t>
  </si>
  <si>
    <t>KAEF</t>
  </si>
  <si>
    <t>KLBF</t>
  </si>
  <si>
    <t>PEHA</t>
  </si>
  <si>
    <t>PYFA</t>
  </si>
  <si>
    <t>SIDO</t>
  </si>
  <si>
    <t>SOHO</t>
  </si>
  <si>
    <t>TSPC</t>
  </si>
  <si>
    <t>VACA (X1)</t>
  </si>
  <si>
    <t>VAHU (X2)</t>
  </si>
  <si>
    <t>STVA (X3)</t>
  </si>
  <si>
    <t>VA</t>
  </si>
  <si>
    <t>CE</t>
  </si>
  <si>
    <t>HC</t>
  </si>
  <si>
    <t>ROA (Y)</t>
  </si>
  <si>
    <t>AUE (Z)</t>
  </si>
  <si>
    <t xml:space="preserve">              </t>
  </si>
  <si>
    <t>Outer loadings</t>
  </si>
  <si>
    <t>AUE (Z) &lt;- AUE (Z)</t>
  </si>
  <si>
    <t>ROA (Y) &lt;- ROA (Y)</t>
  </si>
  <si>
    <t>STVA (X3) &lt;- STVA (X3)</t>
  </si>
  <si>
    <t>VACA (X1) &lt;- VACA (X1)</t>
  </si>
  <si>
    <t>VAHU (X2) &lt;- VAHU (X2)</t>
  </si>
  <si>
    <t>AUE (Z) x STVA (X3) -&gt; AUE (Z) x STVA (X3)</t>
  </si>
  <si>
    <t>Total Pendapatan</t>
  </si>
  <si>
    <t>Laba Bersih</t>
  </si>
  <si>
    <t>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</si>
</sst>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/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/>
    <xf numFmtId="164" fontId="0" fillId="0" borderId="0" xfId="1" applyNumberFormat="1" applyFont="1" applyAlignment="1">
      <alignment horizontal="center"/>
    </xf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D18" sqref="D18"/>
    </sheetView>
  </sheetViews>
  <sheetFormatPr defaultRowHeight="15" x14ac:dyDescent="0.25"/>
  <cols>
    <col min="3" max="3" width="22.7109375" style="8" customWidth="1"/>
    <col min="4" max="4" width="21.7109375" style="8" bestFit="1" customWidth="1"/>
    <col min="5" max="5" width="21.42578125" style="8" customWidth="1"/>
    <col min="6" max="6" width="21.7109375" style="8" customWidth="1"/>
    <col min="7" max="7" width="22.42578125" style="8" customWidth="1"/>
    <col min="8" max="8" width="21.7109375" style="8" customWidth="1"/>
    <col min="9" max="11" width="12.140625" customWidth="1"/>
    <col min="12" max="12" width="10.5703125" customWidth="1"/>
    <col min="13" max="13" width="10.42578125" customWidth="1"/>
  </cols>
  <sheetData>
    <row r="1" spans="1:13" x14ac:dyDescent="0.25">
      <c r="C1" s="4" t="s">
        <v>12</v>
      </c>
      <c r="D1" s="4" t="s">
        <v>13</v>
      </c>
      <c r="E1" s="4" t="s">
        <v>14</v>
      </c>
      <c r="F1" s="4" t="s">
        <v>25</v>
      </c>
      <c r="G1" s="4" t="s">
        <v>26</v>
      </c>
      <c r="H1" s="4" t="s">
        <v>27</v>
      </c>
      <c r="I1" s="3" t="s">
        <v>9</v>
      </c>
      <c r="J1" s="3" t="s">
        <v>10</v>
      </c>
      <c r="K1" s="3" t="s">
        <v>11</v>
      </c>
      <c r="L1" s="3" t="s">
        <v>16</v>
      </c>
      <c r="M1" s="3" t="s">
        <v>15</v>
      </c>
    </row>
    <row r="2" spans="1:13" x14ac:dyDescent="0.25">
      <c r="A2" t="s">
        <v>0</v>
      </c>
      <c r="B2">
        <v>2022</v>
      </c>
      <c r="C2" s="5">
        <f>1917041442000+27116987000-910918060000-627990308000-202436886000-4465799000-724247000-171149000-51698206000</f>
        <v>145753774000</v>
      </c>
      <c r="D2" s="5">
        <f>140362058100+149375011000</f>
        <v>289737069100</v>
      </c>
      <c r="E2" s="5">
        <v>392329179000</v>
      </c>
      <c r="F2" s="5">
        <f>191704144200+27116987+362123700</f>
        <v>192093384887</v>
      </c>
      <c r="G2" s="6">
        <v>149375011000</v>
      </c>
      <c r="H2" s="6">
        <v>200913948500</v>
      </c>
      <c r="I2" s="1">
        <f>C2/D2</f>
        <v>0.50305531995871222</v>
      </c>
      <c r="J2" s="1">
        <f>C2/E2</f>
        <v>0.3715088803017631</v>
      </c>
      <c r="K2" s="1">
        <f>(C2-E2)/C2</f>
        <v>-1.6917256976138402</v>
      </c>
      <c r="L2" s="1">
        <f>F2/H2</f>
        <v>0.95609780366742436</v>
      </c>
      <c r="M2" s="1">
        <f>G2/H2</f>
        <v>0.7434775540235824</v>
      </c>
    </row>
    <row r="3" spans="1:13" x14ac:dyDescent="0.25">
      <c r="A3" t="s">
        <v>1</v>
      </c>
      <c r="C3" s="5">
        <f>1144108230742-96157280376-1254216941753-137961871438-135316285407-38098990335-3505416086</f>
        <v>-521148554653</v>
      </c>
      <c r="D3" s="5">
        <f>86348511713-428487671595</f>
        <v>-342139159882</v>
      </c>
      <c r="E3" s="5">
        <v>1543626745668</v>
      </c>
      <c r="F3" s="5">
        <f>1144108230742-96157280376+85276957+92575606101</f>
        <v>1140611833424</v>
      </c>
      <c r="G3" s="5">
        <v>-428487671595</v>
      </c>
      <c r="H3" s="5">
        <f>1534000446508</f>
        <v>1534000446508</v>
      </c>
      <c r="I3" s="1">
        <f t="shared" ref="I3:I10" si="0">C3/D3</f>
        <v>1.523206390150541</v>
      </c>
      <c r="J3" s="1">
        <f t="shared" ref="J3:J10" si="1">C3/E3</f>
        <v>-0.33761306359554849</v>
      </c>
      <c r="K3" s="1">
        <f t="shared" ref="K3:K10" si="2">(C3-E3)/C3</f>
        <v>3.9619706931659895</v>
      </c>
      <c r="L3" s="1">
        <f t="shared" ref="L3:L10" si="3">F3/H3</f>
        <v>0.74355378189132204</v>
      </c>
      <c r="M3" s="1">
        <f t="shared" ref="M3:M10" si="4">G3/H3</f>
        <v>-0.27932695363316856</v>
      </c>
    </row>
    <row r="4" spans="1:13" x14ac:dyDescent="0.25">
      <c r="A4" t="s">
        <v>2</v>
      </c>
      <c r="C4" s="5">
        <f>9606145359000+252633876000-6013310323000-3286258916000-520607653000-143948941000-15456071000</f>
        <v>-120802669000</v>
      </c>
      <c r="D4" s="5">
        <f>2035399289300-109782957000</f>
        <v>1925616332300</v>
      </c>
      <c r="E4" s="5">
        <v>184443932600</v>
      </c>
      <c r="F4" s="5">
        <f>960614535900+25263387600+1215812500</f>
        <v>987093736000</v>
      </c>
      <c r="G4" s="5">
        <v>-109782957000</v>
      </c>
      <c r="H4" s="5">
        <v>203539928930</v>
      </c>
      <c r="I4" s="1">
        <f t="shared" si="0"/>
        <v>-6.2734547362147966E-2</v>
      </c>
      <c r="J4" s="1">
        <f t="shared" si="1"/>
        <v>-0.6549560470605581</v>
      </c>
      <c r="K4" s="1">
        <f t="shared" si="2"/>
        <v>2.5268200125611462</v>
      </c>
      <c r="L4" s="1">
        <f t="shared" si="3"/>
        <v>4.8496319183617</v>
      </c>
      <c r="M4" s="1">
        <f t="shared" si="4"/>
        <v>-0.53936816022843248</v>
      </c>
    </row>
    <row r="5" spans="1:13" x14ac:dyDescent="0.25">
      <c r="A5" t="s">
        <v>3</v>
      </c>
      <c r="C5" s="5">
        <f>28933502646719+216576242631-17229436210443-5748946356470-1432351446964-292066668412-51647554871-55059325414-1008813493059</f>
        <v>3331757833717</v>
      </c>
      <c r="D5" s="5">
        <f>22097328202389+3450083412291</f>
        <v>25547411614680</v>
      </c>
      <c r="E5" s="5">
        <f>3005040295460</f>
        <v>3005040295460</v>
      </c>
      <c r="F5" s="5">
        <f>28933502646719+216576242631+81827367738+36498210836</f>
        <v>29268404467924</v>
      </c>
      <c r="G5" s="5">
        <f>3450083412291</f>
        <v>3450083412291</v>
      </c>
      <c r="H5" s="5">
        <f>27241313025674</f>
        <v>27241313025674</v>
      </c>
      <c r="I5" s="1">
        <f t="shared" si="0"/>
        <v>0.13041469264943115</v>
      </c>
      <c r="J5" s="1">
        <f t="shared" si="1"/>
        <v>1.1087231804347526</v>
      </c>
      <c r="K5" s="1">
        <f t="shared" si="2"/>
        <v>9.8061610285914744E-2</v>
      </c>
      <c r="L5" s="1">
        <f t="shared" si="3"/>
        <v>1.0744123985631506</v>
      </c>
      <c r="M5" s="1">
        <f t="shared" si="4"/>
        <v>0.12664893975703062</v>
      </c>
    </row>
    <row r="6" spans="1:13" x14ac:dyDescent="0.25">
      <c r="A6" t="s">
        <v>4</v>
      </c>
      <c r="C6" s="5">
        <f>11684744340000+6585141000-584381039000-489647237000-60194977000-14106863000</f>
        <v>10542999365000</v>
      </c>
      <c r="D6" s="5">
        <f>273952540000+771816074000</f>
        <v>1045768614000</v>
      </c>
      <c r="E6" s="5">
        <f>261109879000</f>
        <v>261109879000</v>
      </c>
      <c r="F6" s="5">
        <f>116847443400+658514100+66579500</f>
        <v>117572537000</v>
      </c>
      <c r="G6" s="5">
        <f>273952540000</f>
        <v>273952540000</v>
      </c>
      <c r="H6" s="5">
        <f>180628096500</f>
        <v>180628096500</v>
      </c>
      <c r="I6" s="1">
        <f t="shared" si="0"/>
        <v>10.081579446789556</v>
      </c>
      <c r="J6" s="1">
        <f t="shared" si="1"/>
        <v>40.377634907486588</v>
      </c>
      <c r="K6" s="1">
        <f t="shared" si="2"/>
        <v>0.97523381440514767</v>
      </c>
      <c r="L6" s="1">
        <f t="shared" si="3"/>
        <v>0.65090946136389138</v>
      </c>
      <c r="M6" s="1">
        <f t="shared" si="4"/>
        <v>1.5166662623829399</v>
      </c>
    </row>
    <row r="7" spans="1:13" x14ac:dyDescent="0.25">
      <c r="A7" t="s">
        <v>5</v>
      </c>
      <c r="C7" s="5">
        <f>715425027099+380998385173-464580400643-75675616146-110757690051-87085850739</f>
        <v>358323854693</v>
      </c>
      <c r="D7" s="5">
        <f>275472011358+442357487241</f>
        <v>717829498599</v>
      </c>
      <c r="E7" s="5">
        <f>182864646941</f>
        <v>182864646941</v>
      </c>
      <c r="F7" s="5">
        <f>715425027099+725723973-278681022+4309203459+380998385173</f>
        <v>1101179658682</v>
      </c>
      <c r="G7" s="5">
        <f>275472011358</f>
        <v>275472011358</v>
      </c>
      <c r="H7" s="5">
        <f>1520568653644</f>
        <v>1520568653644</v>
      </c>
      <c r="I7" s="1">
        <f t="shared" si="0"/>
        <v>0.49917683153499087</v>
      </c>
      <c r="J7" s="1">
        <f t="shared" si="1"/>
        <v>1.9595031663425391</v>
      </c>
      <c r="K7" s="1">
        <f t="shared" si="2"/>
        <v>0.48966655569813411</v>
      </c>
      <c r="L7" s="1">
        <f t="shared" si="3"/>
        <v>0.72418937220825508</v>
      </c>
      <c r="M7" s="1">
        <f t="shared" si="4"/>
        <v>0.18116381045856697</v>
      </c>
    </row>
    <row r="8" spans="1:13" x14ac:dyDescent="0.25">
      <c r="A8" t="s">
        <v>6</v>
      </c>
      <c r="C8" s="5">
        <f>3865523000000+18377000000-565059000000-222851000000-14000000-1702910000000-315138000000-780000000-3341000000-73356000000</f>
        <v>1000451000000</v>
      </c>
      <c r="D8" s="5">
        <v>1393066000000</v>
      </c>
      <c r="E8" s="5">
        <v>1734948000000</v>
      </c>
      <c r="F8" s="5">
        <v>1576692990000</v>
      </c>
      <c r="G8" s="5">
        <f>1104714000000</f>
        <v>1104714000000</v>
      </c>
      <c r="H8" s="5">
        <f>408144200000</f>
        <v>408144200000</v>
      </c>
      <c r="I8" s="1">
        <f t="shared" si="0"/>
        <v>0.7181648249257393</v>
      </c>
      <c r="J8" s="1">
        <f t="shared" si="1"/>
        <v>0.576646101208797</v>
      </c>
      <c r="K8" s="1">
        <f t="shared" si="2"/>
        <v>-0.7341658911830764</v>
      </c>
      <c r="L8" s="1">
        <f t="shared" si="3"/>
        <v>3.8630782698859862</v>
      </c>
      <c r="M8" s="1">
        <f t="shared" si="4"/>
        <v>2.7066757288232934</v>
      </c>
    </row>
    <row r="9" spans="1:13" x14ac:dyDescent="0.25">
      <c r="A9" t="s">
        <v>7</v>
      </c>
      <c r="C9" s="5">
        <v>2597785000000</v>
      </c>
      <c r="D9" s="5">
        <f>2427555000000-724645000000</f>
        <v>1702910000000</v>
      </c>
      <c r="E9" s="5">
        <v>161323100000</v>
      </c>
      <c r="F9" s="5">
        <v>1199317000000</v>
      </c>
      <c r="G9" s="5">
        <v>356170231000</v>
      </c>
      <c r="H9" s="5">
        <v>2119931700000</v>
      </c>
      <c r="I9" s="1">
        <f t="shared" si="0"/>
        <v>1.5254975306974532</v>
      </c>
      <c r="J9" s="1">
        <f t="shared" si="1"/>
        <v>16.102994549447661</v>
      </c>
      <c r="K9" s="1">
        <f t="shared" si="2"/>
        <v>0.93789974920942265</v>
      </c>
      <c r="L9" s="1">
        <f t="shared" si="3"/>
        <v>0.56573379227264731</v>
      </c>
      <c r="M9" s="1">
        <f t="shared" si="4"/>
        <v>0.16801023872608725</v>
      </c>
    </row>
    <row r="10" spans="1:13" x14ac:dyDescent="0.25">
      <c r="A10" t="s">
        <v>8</v>
      </c>
      <c r="C10" s="5">
        <f>13079569000000+50774000000-8089807000000-2923868000000-562809000000-64813000000-10853000000-49427000000-292295000000</f>
        <v>1136471000000</v>
      </c>
      <c r="D10" s="5">
        <v>1260898000000</v>
      </c>
      <c r="E10" s="5">
        <v>386552300000</v>
      </c>
      <c r="F10" s="5">
        <v>6124305000000</v>
      </c>
      <c r="G10" s="5">
        <v>216025920000</v>
      </c>
      <c r="H10" s="5">
        <v>2110713700000</v>
      </c>
      <c r="I10" s="1">
        <f t="shared" si="0"/>
        <v>0.90131874267387213</v>
      </c>
      <c r="J10" s="1">
        <f t="shared" si="1"/>
        <v>2.9400187245037737</v>
      </c>
      <c r="K10" s="1">
        <f t="shared" si="2"/>
        <v>0.65986611184975241</v>
      </c>
      <c r="L10" s="1">
        <f t="shared" si="3"/>
        <v>2.9015327848585053</v>
      </c>
      <c r="M10" s="1">
        <f t="shared" si="4"/>
        <v>0.10234733398470859</v>
      </c>
    </row>
    <row r="11" spans="1:13" x14ac:dyDescent="0.25">
      <c r="A11" t="s">
        <v>0</v>
      </c>
      <c r="B11">
        <v>2021</v>
      </c>
      <c r="C11" s="5">
        <f>1900893602000+26799236000-905125390000-622032785000-184038149000-8176903000-828767000-123474000-65005866000</f>
        <v>142361504000</v>
      </c>
      <c r="D11" s="5">
        <f>1391412139000+146505337000</f>
        <v>1537917476000</v>
      </c>
      <c r="E11" s="5">
        <v>3799243970000</v>
      </c>
      <c r="F11" s="5">
        <f>190089360200+267992300+414383300</f>
        <v>190771735800</v>
      </c>
      <c r="G11" s="5">
        <v>146505337000</v>
      </c>
      <c r="H11" s="5">
        <v>208291132200</v>
      </c>
      <c r="I11">
        <f>C11/D11</f>
        <v>9.2567713301672627E-2</v>
      </c>
      <c r="J11">
        <f>C11/E11</f>
        <v>3.7471008738614912E-2</v>
      </c>
      <c r="K11">
        <f>(C11-E11)/C11</f>
        <v>-25.687298625336243</v>
      </c>
      <c r="L11">
        <f>F11/H11</f>
        <v>0.91588985947237556</v>
      </c>
      <c r="M11">
        <f>G11/H11</f>
        <v>0.70336809566778091</v>
      </c>
    </row>
    <row r="12" spans="1:13" x14ac:dyDescent="0.25">
      <c r="A12" t="s">
        <v>1</v>
      </c>
      <c r="C12" s="5">
        <f>290198653287900-9798126098100-245033254854900-15315875620200-14853473212200-4330569696200-6445085588900</f>
        <v>-5577731782600</v>
      </c>
      <c r="D12" s="5">
        <f>508309909506-37571241226</f>
        <v>470738668280</v>
      </c>
      <c r="E12" s="5">
        <v>3007731553036</v>
      </c>
      <c r="F12" s="5">
        <f>2901986532879-97981260981+99660989+18106415611</f>
        <v>2822211348498</v>
      </c>
      <c r="G12" s="5">
        <v>-37571241226000</v>
      </c>
      <c r="H12" s="5">
        <v>2011879396142</v>
      </c>
      <c r="I12">
        <f t="shared" ref="I12:I19" si="5">C12/D12</f>
        <v>-11.848892301497335</v>
      </c>
      <c r="J12">
        <f t="shared" ref="J12:J19" si="6">C12/E12</f>
        <v>-1.8544646303191006</v>
      </c>
      <c r="K12">
        <f t="shared" ref="K12:K19" si="7">(C12-E12)/C12</f>
        <v>1.5392391872299707</v>
      </c>
      <c r="L12">
        <f t="shared" ref="L12:L19" si="8">F12/H12</f>
        <v>1.4027736224695677</v>
      </c>
      <c r="M12">
        <f t="shared" ref="M12:M19" si="9">G12/H12</f>
        <v>-18.674698542093022</v>
      </c>
    </row>
    <row r="13" spans="1:13" x14ac:dyDescent="0.25">
      <c r="A13" t="s">
        <v>2</v>
      </c>
      <c r="C13" s="5">
        <f>12857626593000+8324994300-846134149400-350053278500-60681301100-10299462000</f>
        <v>11598783396300</v>
      </c>
      <c r="D13" s="5">
        <f>17760195040000+289888789000</f>
        <v>18050083829000</v>
      </c>
      <c r="E13" s="5">
        <v>1737002283000</v>
      </c>
      <c r="F13" s="5">
        <f>1285762659300+8324994300+1405710000</f>
        <v>1295493363600</v>
      </c>
      <c r="G13" s="5">
        <v>289888789000</v>
      </c>
      <c r="H13" s="5">
        <v>1776019504000</v>
      </c>
      <c r="I13">
        <f t="shared" si="5"/>
        <v>0.64258889355765325</v>
      </c>
      <c r="J13">
        <f t="shared" si="6"/>
        <v>6.6774715898862178</v>
      </c>
      <c r="K13">
        <f t="shared" si="7"/>
        <v>0.85024271739102375</v>
      </c>
      <c r="L13">
        <f t="shared" si="8"/>
        <v>0.72943645082852648</v>
      </c>
      <c r="M13">
        <f t="shared" si="9"/>
        <v>0.16322387696030619</v>
      </c>
    </row>
    <row r="14" spans="1:13" x14ac:dyDescent="0.25">
      <c r="A14" t="s">
        <v>3</v>
      </c>
      <c r="C14" s="5">
        <f>26261194512313+63199472391-14977410271049-5549652127459-1421999206044-290760910499-4784328091-57384355149-911256951493</f>
        <v>3111145834920</v>
      </c>
      <c r="D14" s="5">
        <f>3232007683281+21265877793123</f>
        <v>24497885476404</v>
      </c>
      <c r="E14" s="5">
        <f>2848622796049</f>
        <v>2848622796049</v>
      </c>
      <c r="F14" s="5">
        <f>26261194512313+63199472391+110792114445+80069733916</f>
        <v>26515255833065</v>
      </c>
      <c r="G14" s="5">
        <f>3232007683281</f>
        <v>3232007683281</v>
      </c>
      <c r="H14" s="5">
        <f>25666635156271</f>
        <v>25666635156271</v>
      </c>
      <c r="I14">
        <f t="shared" si="5"/>
        <v>0.12699650498066903</v>
      </c>
      <c r="J14">
        <f t="shared" si="6"/>
        <v>1.0921578803747256</v>
      </c>
      <c r="K14">
        <f t="shared" si="7"/>
        <v>8.4381463550952607E-2</v>
      </c>
      <c r="L14">
        <f t="shared" si="8"/>
        <v>1.0330631838426496</v>
      </c>
      <c r="M14">
        <f t="shared" si="9"/>
        <v>0.1259225318629793</v>
      </c>
    </row>
    <row r="15" spans="1:13" x14ac:dyDescent="0.25">
      <c r="A15" t="s">
        <v>4</v>
      </c>
      <c r="C15" s="5">
        <f>10514443420000+191789000-531914614000-429447920000-79759331000-1595144000</f>
        <v>9471918200000</v>
      </c>
      <c r="D15" s="5">
        <f>740977263000+11296951000</f>
        <v>752274214000</v>
      </c>
      <c r="E15" s="5">
        <f>2422579720000</f>
        <v>2422579720000</v>
      </c>
      <c r="F15" s="5">
        <f>105144434200+19178900+237782900</f>
        <v>105401396000</v>
      </c>
      <c r="G15" s="5">
        <f>1129695100000</f>
        <v>1129695100000</v>
      </c>
      <c r="H15" s="5">
        <f>1838539299000</f>
        <v>1838539299000</v>
      </c>
      <c r="I15">
        <f t="shared" si="5"/>
        <v>12.591044626713737</v>
      </c>
      <c r="J15">
        <f t="shared" si="6"/>
        <v>3.9098478872761304</v>
      </c>
      <c r="K15">
        <f t="shared" si="7"/>
        <v>0.74423557416279207</v>
      </c>
      <c r="L15">
        <f t="shared" si="8"/>
        <v>5.7328878451131764E-2</v>
      </c>
      <c r="M15">
        <f t="shared" si="9"/>
        <v>0.61445251706855142</v>
      </c>
    </row>
    <row r="16" spans="1:13" x14ac:dyDescent="0.25">
      <c r="A16" t="s">
        <v>5</v>
      </c>
      <c r="C16" s="5">
        <f>630530235961000+2650840025000-385949260966000-145986605067000-73990114689000-43383228329000-3332378515000</f>
        <v>-19460511580000</v>
      </c>
      <c r="D16" s="5">
        <f>806221575272+5478952440</f>
        <v>811700527712</v>
      </c>
      <c r="E16" s="5">
        <f>78080982299</f>
        <v>78080982299</v>
      </c>
      <c r="F16" s="5">
        <f>630530235961+622444057+160292545+26508400250+299167193</f>
        <v>658120540006</v>
      </c>
      <c r="G16" s="5">
        <f>5478952440000</f>
        <v>5478952440000</v>
      </c>
      <c r="H16" s="5">
        <f>806221575272</f>
        <v>806221575272</v>
      </c>
      <c r="I16">
        <f t="shared" si="5"/>
        <v>-23.97498943958405</v>
      </c>
      <c r="J16">
        <f t="shared" si="6"/>
        <v>-249.23497383112758</v>
      </c>
      <c r="K16">
        <f t="shared" si="7"/>
        <v>1.0040122779906384</v>
      </c>
      <c r="L16">
        <f t="shared" si="8"/>
        <v>0.8163023171191689</v>
      </c>
      <c r="M16">
        <f t="shared" si="9"/>
        <v>6.7958395161423599</v>
      </c>
    </row>
    <row r="17" spans="1:13" x14ac:dyDescent="0.25">
      <c r="A17" t="s">
        <v>6</v>
      </c>
      <c r="C17" s="5">
        <f>4020980000000+21561000000-1734948000000-556440000000-169564000000-4897000000-352333000000-516657000000</f>
        <v>707702000000</v>
      </c>
      <c r="D17" s="5">
        <v>1268263000000</v>
      </c>
      <c r="E17" s="5">
        <v>146718100000</v>
      </c>
      <c r="F17" s="5">
        <v>478930450000</v>
      </c>
      <c r="G17" s="5">
        <f>1260898000000</f>
        <v>1260898000000</v>
      </c>
      <c r="H17" s="5">
        <f>4068970000000</f>
        <v>4068970000000</v>
      </c>
      <c r="I17">
        <f t="shared" si="5"/>
        <v>0.55800886724598919</v>
      </c>
      <c r="J17">
        <f t="shared" si="6"/>
        <v>4.8235493780249339</v>
      </c>
      <c r="K17">
        <f t="shared" si="7"/>
        <v>0.79268378498294478</v>
      </c>
      <c r="L17">
        <f t="shared" si="8"/>
        <v>0.1177031165135157</v>
      </c>
      <c r="M17">
        <f t="shared" si="9"/>
        <v>0.30988137046967662</v>
      </c>
    </row>
    <row r="18" spans="1:13" x14ac:dyDescent="0.25">
      <c r="A18" t="s">
        <v>7</v>
      </c>
      <c r="C18" s="5">
        <f>2651798000000-1575967000000</f>
        <v>1075831000000</v>
      </c>
      <c r="D18" s="5">
        <v>1116235000000</v>
      </c>
      <c r="E18" s="5">
        <v>160259200000</v>
      </c>
      <c r="F18" s="5">
        <v>1086000000000</v>
      </c>
      <c r="G18" s="5">
        <v>1702910000000</v>
      </c>
      <c r="H18" s="5">
        <f>3005040295460</f>
        <v>3005040295460</v>
      </c>
      <c r="I18">
        <f t="shared" si="5"/>
        <v>0.96380332098527643</v>
      </c>
      <c r="J18">
        <f t="shared" si="6"/>
        <v>6.7130685789021785</v>
      </c>
      <c r="K18">
        <f t="shared" si="7"/>
        <v>0.85103682641604494</v>
      </c>
      <c r="L18">
        <f t="shared" si="8"/>
        <v>0.36139282446252829</v>
      </c>
      <c r="M18">
        <f t="shared" si="9"/>
        <v>0.5666845807601143</v>
      </c>
    </row>
    <row r="19" spans="1:13" x14ac:dyDescent="0.25">
      <c r="A19" t="s">
        <v>8</v>
      </c>
      <c r="C19" s="5">
        <f>1543370000000-15410480000000</f>
        <v>-13867110000000</v>
      </c>
      <c r="D19" s="5">
        <v>103068600000</v>
      </c>
      <c r="E19" s="5">
        <v>101814200000</v>
      </c>
      <c r="F19" s="5">
        <v>1025193000000</v>
      </c>
      <c r="G19" s="5">
        <v>1702910000000</v>
      </c>
      <c r="H19" s="5">
        <f>2422579720000</f>
        <v>2422579720000</v>
      </c>
      <c r="I19">
        <f t="shared" si="5"/>
        <v>-134.54252798621502</v>
      </c>
      <c r="J19">
        <f t="shared" si="6"/>
        <v>-136.2001567561303</v>
      </c>
      <c r="K19">
        <f t="shared" si="7"/>
        <v>1.0073421354557655</v>
      </c>
      <c r="L19">
        <f t="shared" si="8"/>
        <v>0.42318235868002724</v>
      </c>
      <c r="M19">
        <f t="shared" si="9"/>
        <v>0.70293249214519138</v>
      </c>
    </row>
    <row r="20" spans="1:13" x14ac:dyDescent="0.25">
      <c r="A20" t="s">
        <v>0</v>
      </c>
      <c r="B20">
        <v>2020</v>
      </c>
      <c r="C20" s="5">
        <f>1829699557000+16467038000-89771088900-53710596300-19087259100-976104600-85791400-7859400</f>
        <v>1682527895300</v>
      </c>
      <c r="D20" s="5">
        <f>132628714300+1620729840</f>
        <v>134249444140</v>
      </c>
      <c r="E20" s="5">
        <v>325401112000</v>
      </c>
      <c r="F20" s="5">
        <f>182969955700+1646703800+428958900</f>
        <v>185045618400</v>
      </c>
      <c r="G20" s="6">
        <v>162072984000</v>
      </c>
      <c r="H20" s="5">
        <v>198671187200</v>
      </c>
      <c r="I20">
        <f>C20/D20</f>
        <v>12.532848132655218</v>
      </c>
      <c r="J20">
        <f>C20/E20</f>
        <v>5.1706273680466097</v>
      </c>
      <c r="K20">
        <f>(C20-E20)/C20</f>
        <v>0.80659987099828745</v>
      </c>
      <c r="L20">
        <f>F20/H20</f>
        <v>0.93141648272185895</v>
      </c>
      <c r="M20">
        <f>G20/H20</f>
        <v>0.8157850480696176</v>
      </c>
    </row>
    <row r="21" spans="1:13" x14ac:dyDescent="0.25">
      <c r="A21" t="s">
        <v>1</v>
      </c>
      <c r="C21" s="5">
        <f>171558765439900-7517978553700-131498787357600-14093454487200-12631662570300-4041090688600-2595859033600</f>
        <v>-820067251100</v>
      </c>
      <c r="D21" s="5">
        <f>430326476519+30020709</f>
        <v>430356497228</v>
      </c>
      <c r="E21" s="5">
        <v>1475016704580</v>
      </c>
      <c r="F21" s="5">
        <f>1715587654399-75179785537+323684351+7907008869</f>
        <v>1648638562082</v>
      </c>
      <c r="G21" s="5">
        <v>300207090000</v>
      </c>
      <c r="H21" s="5">
        <v>1713334658849</v>
      </c>
      <c r="I21">
        <f t="shared" ref="I21:I23" si="10">C21/D21</f>
        <v>-1.9055533177312154</v>
      </c>
      <c r="J21">
        <f t="shared" ref="J21:J28" si="11">C21/E21</f>
        <v>-0.5559715009014139</v>
      </c>
      <c r="K21">
        <f t="shared" ref="K21:K28" si="12">(C21-E21)/C21</f>
        <v>2.7986533453219615</v>
      </c>
      <c r="L21">
        <f t="shared" ref="L21:L28" si="13">F21/H21</f>
        <v>0.96223966145034256</v>
      </c>
      <c r="M21">
        <f t="shared" ref="M21:M28" si="14">G21/H21</f>
        <v>0.17521801035746043</v>
      </c>
    </row>
    <row r="22" spans="1:13" x14ac:dyDescent="0.25">
      <c r="A22" t="s">
        <v>2</v>
      </c>
      <c r="C22" s="5">
        <f>1000617302300+33018737100-634904183200-3326011792000-59637720300-5293334200</f>
        <v>-2992210990300</v>
      </c>
      <c r="D22" s="5">
        <f>710567204600+2042575600</f>
        <v>712609780200</v>
      </c>
      <c r="E22" s="5">
        <f>-1931611228000</f>
        <v>-1931611228000</v>
      </c>
      <c r="F22" s="5">
        <f>1000617302300+33018737100+1671187900</f>
        <v>1035307227300</v>
      </c>
      <c r="G22" s="5">
        <v>2042575600000</v>
      </c>
      <c r="H22" s="6">
        <v>1756281667400</v>
      </c>
      <c r="I22">
        <f t="shared" si="10"/>
        <v>-4.1989474091419439</v>
      </c>
      <c r="J22">
        <f t="shared" si="11"/>
        <v>1.5490751694367351</v>
      </c>
      <c r="K22">
        <f t="shared" si="12"/>
        <v>0.35445353477351671</v>
      </c>
      <c r="L22">
        <f t="shared" si="13"/>
        <v>0.58948814789638448</v>
      </c>
      <c r="M22">
        <f t="shared" si="14"/>
        <v>1.1630113995460818</v>
      </c>
    </row>
    <row r="23" spans="1:13" x14ac:dyDescent="0.25">
      <c r="A23" t="s">
        <v>3</v>
      </c>
      <c r="C23" s="5">
        <f>23112654991224+144789468974-12866332497453-5014413328661-1391608361036-285054653892-156080397434-89580314845-828010058930</f>
        <v>2626364847947</v>
      </c>
      <c r="D23" s="5">
        <f>18276082144080+2799622515814</f>
        <v>21075704659894</v>
      </c>
      <c r="E23" s="5">
        <v>2888143271328</v>
      </c>
      <c r="F23" s="5">
        <f>23112654991224+144789468974+151559182039+21698485828</f>
        <v>23430702128065</v>
      </c>
      <c r="G23" s="5">
        <f>2799622515814</f>
        <v>2799622515814</v>
      </c>
      <c r="H23" s="5">
        <f>22564300317374</f>
        <v>22564300317374</v>
      </c>
      <c r="I23">
        <f t="shared" si="10"/>
        <v>0.12461575498089227</v>
      </c>
      <c r="J23">
        <f t="shared" si="11"/>
        <v>0.90936099812644289</v>
      </c>
      <c r="K23">
        <f t="shared" si="12"/>
        <v>-9.9673289332070245E-2</v>
      </c>
      <c r="L23">
        <f t="shared" si="13"/>
        <v>1.0383970164598408</v>
      </c>
      <c r="M23">
        <f t="shared" si="14"/>
        <v>0.12407309229342042</v>
      </c>
    </row>
    <row r="24" spans="1:13" x14ac:dyDescent="0.25">
      <c r="A24" t="s">
        <v>4</v>
      </c>
      <c r="C24" s="5">
        <f>980556653000+96380730000-45706953900-31759944200-11609076300-9444629500-2974054500-1541823000</f>
        <v>973900901600</v>
      </c>
      <c r="D24" s="5">
        <f>48665149000+74090905400</f>
        <v>122756054400</v>
      </c>
      <c r="E24" s="5">
        <v>236080266000</v>
      </c>
      <c r="F24" s="5">
        <f>980556653000+2092580000+96380730000</f>
        <v>1079029963000</v>
      </c>
      <c r="G24" s="5">
        <f>486651490000</f>
        <v>486651490000</v>
      </c>
      <c r="H24" s="5">
        <f>191598937500</f>
        <v>191598937500</v>
      </c>
      <c r="I24">
        <f>C24/D24</f>
        <v>7.9336282545099461</v>
      </c>
      <c r="J24">
        <f t="shared" si="11"/>
        <v>4.1252956805800958</v>
      </c>
      <c r="K24">
        <f t="shared" si="12"/>
        <v>0.75759313333404965</v>
      </c>
      <c r="L24">
        <f t="shared" si="13"/>
        <v>5.6317116215741017</v>
      </c>
      <c r="M24">
        <f t="shared" si="14"/>
        <v>2.5399487927744904</v>
      </c>
    </row>
    <row r="25" spans="1:13" x14ac:dyDescent="0.25">
      <c r="A25" t="s">
        <v>5</v>
      </c>
      <c r="C25" s="5">
        <f>27739806173900+1850006657-113507729371-99293129295-35046459569-2564861795-7537844514</f>
        <v>27483706156013</v>
      </c>
      <c r="D25" s="5">
        <f>22104364267+157631750155</f>
        <v>179736114422</v>
      </c>
      <c r="E25" s="5">
        <f>67484451422</f>
        <v>67484451422</v>
      </c>
      <c r="F25" s="5">
        <f>277398061739+553684767+189251842+1850006657+63383806</f>
        <v>280054388811</v>
      </c>
      <c r="G25" s="5">
        <f>2210436426700</f>
        <v>2210436426700</v>
      </c>
      <c r="H25" s="5">
        <f>228575380866</f>
        <v>228575380866</v>
      </c>
      <c r="I25">
        <f t="shared" ref="I25:I28" si="15">C25/D25</f>
        <v>152.91142931622733</v>
      </c>
      <c r="J25">
        <f t="shared" si="11"/>
        <v>407.25982914418836</v>
      </c>
      <c r="K25">
        <f t="shared" si="12"/>
        <v>0.99754456509471756</v>
      </c>
      <c r="L25">
        <f t="shared" si="13"/>
        <v>1.2252167654712518</v>
      </c>
      <c r="M25">
        <f t="shared" si="14"/>
        <v>9.670492151540353</v>
      </c>
    </row>
    <row r="26" spans="1:13" x14ac:dyDescent="0.25">
      <c r="A26" t="s">
        <v>6</v>
      </c>
      <c r="C26" s="5">
        <f>6335411000000+9560000000-1496628000000-492330000000-200659000000-4329000000-265532000000-653485316719</f>
        <v>3232007683281</v>
      </c>
      <c r="D26" s="5">
        <f>1715587654399-75179785537+323684351+7907008869</f>
        <v>1648638562082</v>
      </c>
      <c r="E26" s="5">
        <v>3315523000000</v>
      </c>
      <c r="F26" s="5">
        <f>234567000000</f>
        <v>234567000000</v>
      </c>
      <c r="G26" s="5">
        <v>148833609000</v>
      </c>
      <c r="H26" s="5">
        <v>311039280000</v>
      </c>
      <c r="I26">
        <f t="shared" si="15"/>
        <v>1.9604100969222908</v>
      </c>
      <c r="J26">
        <f t="shared" si="11"/>
        <v>0.97481081665878955</v>
      </c>
      <c r="K26">
        <f t="shared" si="12"/>
        <v>-2.5840073695065822E-2</v>
      </c>
      <c r="L26">
        <f t="shared" si="13"/>
        <v>0.75413947717471563</v>
      </c>
      <c r="M26">
        <f t="shared" si="14"/>
        <v>0.47850422300360262</v>
      </c>
    </row>
    <row r="27" spans="1:13" x14ac:dyDescent="0.25">
      <c r="A27" t="s">
        <v>7</v>
      </c>
      <c r="C27" s="5">
        <v>1734948000000</v>
      </c>
      <c r="D27" s="5">
        <f>3232007683281</f>
        <v>3232007683281</v>
      </c>
      <c r="E27" s="5">
        <v>217962200000</v>
      </c>
      <c r="F27" s="5">
        <v>145689000000</v>
      </c>
      <c r="G27" s="5">
        <v>2976872180000</v>
      </c>
      <c r="H27" s="5">
        <f>1715587654399-75179785537+323684351+7907008869</f>
        <v>1648638562082</v>
      </c>
      <c r="I27">
        <f t="shared" si="15"/>
        <v>0.53680194170787143</v>
      </c>
      <c r="J27">
        <f t="shared" si="11"/>
        <v>7.9598572596532797</v>
      </c>
      <c r="K27">
        <f>(C27-E27)/C27</f>
        <v>0.87436960646659145</v>
      </c>
      <c r="L27">
        <f t="shared" si="13"/>
        <v>8.8369278355357142E-2</v>
      </c>
      <c r="M27">
        <f t="shared" si="14"/>
        <v>1.805654828454714</v>
      </c>
    </row>
    <row r="28" spans="1:13" x14ac:dyDescent="0.25">
      <c r="A28" t="s">
        <v>8</v>
      </c>
      <c r="C28" s="5">
        <f>1104714000000</f>
        <v>1104714000000</v>
      </c>
      <c r="D28" s="5">
        <f>1260898000000</f>
        <v>1260898000000</v>
      </c>
      <c r="E28" s="5">
        <v>212430500000</v>
      </c>
      <c r="F28" s="5">
        <v>196775400000</v>
      </c>
      <c r="G28" s="5">
        <v>147401248000</v>
      </c>
      <c r="H28" s="6">
        <v>119931700000</v>
      </c>
      <c r="I28">
        <f t="shared" si="15"/>
        <v>0.87613272445511059</v>
      </c>
      <c r="J28">
        <f t="shared" si="11"/>
        <v>5.2003549396155453</v>
      </c>
      <c r="K28">
        <f t="shared" si="12"/>
        <v>0.80770543326145949</v>
      </c>
      <c r="L28">
        <f t="shared" si="13"/>
        <v>1.6407288481694164</v>
      </c>
      <c r="M28">
        <f t="shared" si="14"/>
        <v>1.2290432637909743</v>
      </c>
    </row>
    <row r="29" spans="1:13" x14ac:dyDescent="0.25">
      <c r="A29" t="s">
        <v>0</v>
      </c>
      <c r="B29">
        <v>2019</v>
      </c>
      <c r="C29" s="5">
        <f>1813020278000+13046226000-83953830100-52837014200-15168371600-985062200-115657800-7946678600</f>
        <v>1665059889500</v>
      </c>
      <c r="D29" s="5">
        <f>221783249000+130607898800</f>
        <v>352391147800</v>
      </c>
      <c r="E29" s="5">
        <v>311039280000</v>
      </c>
      <c r="F29" s="5">
        <f>181302027800+1304622600+578289000</f>
        <v>183184939400</v>
      </c>
      <c r="G29" s="6">
        <v>221783249000</v>
      </c>
      <c r="H29" s="5">
        <v>1829960714000</v>
      </c>
      <c r="I29">
        <f>C29/D29</f>
        <v>4.7250332475576444</v>
      </c>
      <c r="J29">
        <f>C29/E29</f>
        <v>5.3532141969335836</v>
      </c>
      <c r="K29">
        <f>(C29-E29)/C29</f>
        <v>0.81319634088753301</v>
      </c>
      <c r="L29">
        <f>F29/H29</f>
        <v>0.10010320877303817</v>
      </c>
      <c r="M29">
        <f>G29/H29</f>
        <v>0.12119563403916878</v>
      </c>
    </row>
    <row r="30" spans="1:13" x14ac:dyDescent="0.25">
      <c r="A30" t="s">
        <v>1</v>
      </c>
      <c r="C30" s="5">
        <f>135917524965500+2787481046300-110881513649600-11747642695000-11070327470400-4058877464800-297810025000</f>
        <v>648834707000</v>
      </c>
      <c r="D30" s="5">
        <f>504935327036+7961966026</f>
        <v>512897293062</v>
      </c>
      <c r="E30" s="5">
        <v>1307905236347</v>
      </c>
      <c r="F30" s="5">
        <f>1359175249655+27874810463+279521987+1194096969</f>
        <v>1388523679074</v>
      </c>
      <c r="G30" s="5">
        <v>7961966026000</v>
      </c>
      <c r="H30" s="5">
        <v>1383935194386</v>
      </c>
      <c r="I30">
        <f t="shared" ref="I30:I37" si="16">C30/D30</f>
        <v>1.2650382752586835</v>
      </c>
      <c r="J30">
        <f t="shared" ref="J30:J37" si="17">C30/E30</f>
        <v>0.49608694037513423</v>
      </c>
      <c r="K30">
        <f t="shared" ref="K30:K37" si="18">(C30-E30)/C30</f>
        <v>-1.0157757010168693</v>
      </c>
      <c r="L30">
        <f t="shared" ref="L30:L37" si="19">F30/H30</f>
        <v>1.0033155343592774</v>
      </c>
      <c r="M30">
        <f t="shared" ref="M30:M37" si="20">G30/H30</f>
        <v>5.7531350154964622</v>
      </c>
    </row>
    <row r="31" spans="1:13" x14ac:dyDescent="0.25">
      <c r="A31" t="s">
        <v>2</v>
      </c>
      <c r="C31" s="5">
        <f>940053547600+21528159600-589724779000-321185719700-49796990900-2242504900</f>
        <v>-1368287300</v>
      </c>
      <c r="D31" s="5">
        <f>7412926828000+1589043900</f>
        <v>7414515871900</v>
      </c>
      <c r="E31" s="5">
        <f>-1780483420000</f>
        <v>-1780483420000</v>
      </c>
      <c r="F31" s="5">
        <f>940053547600+21528159600+3462965500</f>
        <v>965044672700</v>
      </c>
      <c r="G31" s="5">
        <f>158904390000</f>
        <v>158904390000</v>
      </c>
      <c r="H31" s="5">
        <v>18352877132000</v>
      </c>
      <c r="I31">
        <f t="shared" si="16"/>
        <v>-1.8454169141179149E-4</v>
      </c>
      <c r="J31">
        <f t="shared" si="17"/>
        <v>7.6849201999308701E-4</v>
      </c>
      <c r="K31">
        <f t="shared" si="18"/>
        <v>-1300.2496863779998</v>
      </c>
      <c r="L31">
        <f t="shared" si="19"/>
        <v>5.2582745787435811E-2</v>
      </c>
      <c r="M31">
        <f t="shared" si="20"/>
        <v>8.6582822331946509E-3</v>
      </c>
    </row>
    <row r="32" spans="1:13" x14ac:dyDescent="0.25">
      <c r="A32" t="s">
        <v>3</v>
      </c>
      <c r="C32" s="5">
        <f>22633476361038+66253834956-12390008590196-5358032618673-1288558007592-286654521539-76512416049-40420271275-865015000888</f>
        <v>2394528769782</v>
      </c>
      <c r="D32" s="5">
        <f>2537601823645+16705582476031</f>
        <v>19243184299676</v>
      </c>
      <c r="E32" s="5">
        <f>2730058462683</f>
        <v>2730058462683</v>
      </c>
      <c r="F32" s="5">
        <f>22633476361038+66253834956+137938018031+5135035832</f>
        <v>22842803249857</v>
      </c>
      <c r="G32" s="5">
        <f>2537601823645</f>
        <v>2537601823645</v>
      </c>
      <c r="H32" s="5">
        <f>20264726862584</f>
        <v>20264726862584</v>
      </c>
      <c r="I32">
        <f t="shared" si="16"/>
        <v>0.12443516273043838</v>
      </c>
      <c r="J32">
        <f t="shared" si="17"/>
        <v>0.8770979825203985</v>
      </c>
      <c r="K32">
        <f t="shared" si="18"/>
        <v>-0.14012347528885483</v>
      </c>
      <c r="L32">
        <f t="shared" si="19"/>
        <v>1.1272198932043371</v>
      </c>
      <c r="M32">
        <f t="shared" si="20"/>
        <v>0.12522260185654557</v>
      </c>
    </row>
    <row r="33" spans="1:13" x14ac:dyDescent="0.25">
      <c r="A33" t="s">
        <v>4</v>
      </c>
      <c r="C33" s="5">
        <f>1105420197000+2335778200-49593550400-31513253400-12277777500-6260202900-334741600-2734639100</f>
        <v>1005041810300</v>
      </c>
      <c r="D33" s="5">
        <f>821609349000+10231012400</f>
        <v>831840361400</v>
      </c>
      <c r="E33" s="5">
        <v>248907790000</v>
      </c>
      <c r="F33" s="5">
        <f>110542019700+67379400+2335778200</f>
        <v>112945177300</v>
      </c>
      <c r="G33" s="5">
        <f>102310124000</f>
        <v>102310124000</v>
      </c>
      <c r="H33" s="5">
        <f>209671918000</f>
        <v>209671918000</v>
      </c>
      <c r="I33">
        <f t="shared" si="16"/>
        <v>1.208214769247911</v>
      </c>
      <c r="J33">
        <f t="shared" si="17"/>
        <v>4.0378077773299097</v>
      </c>
      <c r="K33">
        <f t="shared" si="18"/>
        <v>0.75234086040091974</v>
      </c>
      <c r="L33">
        <f t="shared" si="19"/>
        <v>0.53867574817529928</v>
      </c>
      <c r="M33">
        <f t="shared" si="20"/>
        <v>0.48795339393041659</v>
      </c>
    </row>
    <row r="34" spans="1:13" x14ac:dyDescent="0.25">
      <c r="A34" t="s">
        <v>5</v>
      </c>
      <c r="C34" s="5">
        <f>247114772587000+3152982019000-10691202928400-9433456349500-3494772058400-278558423600-317610443800</f>
        <v>226052154402300</v>
      </c>
      <c r="D34" s="5">
        <f>124725993563+9342718039</f>
        <v>134068711602</v>
      </c>
      <c r="E34" s="5">
        <f>67981996321</f>
        <v>67981996321</v>
      </c>
      <c r="F34" s="5">
        <f>247114772587+1049798852+157912363+3152982019+23254255</f>
        <v>251498720076</v>
      </c>
      <c r="G34" s="5">
        <f>9342718039000</f>
        <v>9342718039000</v>
      </c>
      <c r="H34" s="5">
        <f>190786208250</f>
        <v>190786208250</v>
      </c>
      <c r="I34">
        <f t="shared" si="16"/>
        <v>1686.091793537664</v>
      </c>
      <c r="J34">
        <f t="shared" si="17"/>
        <v>3325.1767620197302</v>
      </c>
      <c r="K34">
        <f t="shared" si="18"/>
        <v>0.9996992641078748</v>
      </c>
      <c r="L34">
        <f t="shared" si="19"/>
        <v>1.3182227498669312</v>
      </c>
      <c r="M34">
        <f t="shared" si="20"/>
        <v>48.969567164716686</v>
      </c>
    </row>
    <row r="35" spans="1:13" x14ac:dyDescent="0.25">
      <c r="A35" t="s">
        <v>6</v>
      </c>
      <c r="C35" s="5">
        <f>4080710000000+436520000000-1386870000000-471331000000-191686000000-6955000000-266146000000</f>
        <v>2194242000000</v>
      </c>
      <c r="D35" s="5">
        <v>1467181000000</v>
      </c>
      <c r="E35" s="5">
        <v>4124305000000</v>
      </c>
      <c r="F35" s="5">
        <v>1088230425000</v>
      </c>
      <c r="G35" s="5">
        <v>1479133910000</v>
      </c>
      <c r="H35" s="5">
        <v>1488336090000</v>
      </c>
      <c r="I35">
        <f t="shared" si="16"/>
        <v>1.4955496288460661</v>
      </c>
      <c r="J35">
        <f t="shared" si="17"/>
        <v>0.53202709304961682</v>
      </c>
      <c r="K35">
        <f t="shared" si="18"/>
        <v>-0.87960352595566027</v>
      </c>
      <c r="L35">
        <f t="shared" si="19"/>
        <v>0.73117250351699792</v>
      </c>
      <c r="M35">
        <f t="shared" si="20"/>
        <v>0.99381713575191211</v>
      </c>
    </row>
    <row r="36" spans="1:13" x14ac:dyDescent="0.25">
      <c r="A36" t="s">
        <v>7</v>
      </c>
      <c r="C36" s="5">
        <v>2244707000000</v>
      </c>
      <c r="D36" s="5">
        <v>160259200000</v>
      </c>
      <c r="E36" s="5">
        <v>3179622000000</v>
      </c>
      <c r="F36" s="5">
        <v>102519324300</v>
      </c>
      <c r="G36" s="5">
        <v>236080266000</v>
      </c>
      <c r="H36" s="5">
        <f>48665149000+74090905400</f>
        <v>122756054400</v>
      </c>
      <c r="I36">
        <f t="shared" si="16"/>
        <v>14.006727850881571</v>
      </c>
      <c r="J36">
        <f t="shared" si="17"/>
        <v>0.70596662118956277</v>
      </c>
      <c r="K36">
        <f t="shared" si="18"/>
        <v>-0.41649756516106556</v>
      </c>
      <c r="L36">
        <f t="shared" si="19"/>
        <v>0.83514678604723869</v>
      </c>
      <c r="M36">
        <f t="shared" si="20"/>
        <v>1.9231659664682086</v>
      </c>
    </row>
    <row r="37" spans="1:13" x14ac:dyDescent="0.25">
      <c r="A37" t="s">
        <v>8</v>
      </c>
      <c r="C37" s="5">
        <f>11553917000000-34118000000-2837917000000-6752312000000-572413000000-201065000000-25692000000-48181000000</f>
        <v>1082219000000</v>
      </c>
      <c r="D37" s="6">
        <v>119931700000</v>
      </c>
      <c r="E37" s="5">
        <v>2088230000000</v>
      </c>
      <c r="F37" s="7">
        <v>100914200000</v>
      </c>
      <c r="G37" s="6">
        <v>1476993420000</v>
      </c>
      <c r="H37" s="5">
        <f>2730058462683</f>
        <v>2730058462683</v>
      </c>
      <c r="I37">
        <f t="shared" si="16"/>
        <v>9.0236276147173768</v>
      </c>
      <c r="J37">
        <f t="shared" si="17"/>
        <v>0.51824703217557455</v>
      </c>
      <c r="K37">
        <f t="shared" si="18"/>
        <v>-0.92958172052052312</v>
      </c>
      <c r="L37">
        <f t="shared" si="19"/>
        <v>3.6964116841961429E-2</v>
      </c>
      <c r="M37">
        <f t="shared" si="20"/>
        <v>0.541011645057764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E8" sqref="E8"/>
    </sheetView>
  </sheetViews>
  <sheetFormatPr defaultRowHeight="15" x14ac:dyDescent="0.25"/>
  <cols>
    <col min="5" max="5" width="27.5703125" customWidth="1"/>
  </cols>
  <sheetData>
    <row r="1" spans="1:6" x14ac:dyDescent="0.25">
      <c r="A1" t="s">
        <v>17</v>
      </c>
      <c r="B1" t="s">
        <v>18</v>
      </c>
    </row>
    <row r="2" spans="1:6" x14ac:dyDescent="0.25">
      <c r="A2" t="s">
        <v>19</v>
      </c>
      <c r="B2" s="2">
        <v>1000</v>
      </c>
      <c r="E2" t="s">
        <v>17</v>
      </c>
      <c r="F2" t="s">
        <v>18</v>
      </c>
    </row>
    <row r="3" spans="1:6" x14ac:dyDescent="0.25">
      <c r="A3" t="s">
        <v>20</v>
      </c>
      <c r="B3" s="2">
        <v>1000</v>
      </c>
      <c r="E3" t="s">
        <v>19</v>
      </c>
      <c r="F3" s="2">
        <v>1000</v>
      </c>
    </row>
    <row r="4" spans="1:6" x14ac:dyDescent="0.25">
      <c r="A4" t="s">
        <v>21</v>
      </c>
      <c r="B4" s="2">
        <v>1000</v>
      </c>
      <c r="E4" t="s">
        <v>20</v>
      </c>
      <c r="F4" s="2">
        <v>1000</v>
      </c>
    </row>
    <row r="5" spans="1:6" x14ac:dyDescent="0.25">
      <c r="A5" t="s">
        <v>22</v>
      </c>
      <c r="B5" s="2">
        <v>1000</v>
      </c>
      <c r="E5" t="s">
        <v>21</v>
      </c>
      <c r="F5" s="2">
        <v>1000</v>
      </c>
    </row>
    <row r="6" spans="1:6" x14ac:dyDescent="0.25">
      <c r="A6" t="s">
        <v>23</v>
      </c>
      <c r="B6" s="2">
        <v>1000</v>
      </c>
      <c r="E6" t="s">
        <v>22</v>
      </c>
      <c r="F6" s="2">
        <v>1000</v>
      </c>
    </row>
    <row r="7" spans="1:6" x14ac:dyDescent="0.25">
      <c r="E7" t="s">
        <v>23</v>
      </c>
      <c r="F7" s="2">
        <v>1000</v>
      </c>
    </row>
    <row r="8" spans="1:6" x14ac:dyDescent="0.25">
      <c r="E8" t="s">
        <v>24</v>
      </c>
      <c r="F8" s="2">
        <v>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2023-06-23T04:14:47Z</dcterms:created>
  <dcterms:modified xsi:type="dcterms:W3CDTF">2023-08-09T04:14:47Z</dcterms:modified>
</cp:coreProperties>
</file>